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715" windowHeight="14115"/>
  </bookViews>
  <sheets>
    <sheet name="Tabelle1" sheetId="1" r:id="rId1"/>
  </sheets>
  <calcPr calcId="145621"/>
</workbook>
</file>

<file path=xl/calcChain.xml><?xml version="1.0" encoding="utf-8"?>
<calcChain xmlns="http://schemas.openxmlformats.org/spreadsheetml/2006/main">
  <c r="C81" i="1" l="1"/>
  <c r="C73" i="1"/>
  <c r="C75" i="1" s="1"/>
  <c r="C76" i="1" s="1"/>
  <c r="C77" i="1" s="1"/>
  <c r="C78" i="1" s="1"/>
  <c r="C71" i="1"/>
  <c r="C58" i="1"/>
  <c r="C56" i="1"/>
  <c r="C53" i="1"/>
  <c r="C51" i="1"/>
  <c r="C49" i="1"/>
  <c r="C89" i="1"/>
  <c r="C39" i="1"/>
  <c r="C38" i="1"/>
  <c r="C37" i="1"/>
  <c r="C36" i="1"/>
  <c r="C42" i="1" l="1"/>
  <c r="C82" i="1"/>
  <c r="C59" i="1"/>
  <c r="C60" i="1" s="1"/>
  <c r="C62" i="1" s="1"/>
  <c r="C63" i="1" s="1"/>
  <c r="C26" i="1"/>
  <c r="C21" i="1"/>
  <c r="C23" i="1" s="1"/>
  <c r="C19" i="1"/>
  <c r="C97" i="1"/>
  <c r="C10" i="1"/>
  <c r="C11" i="1" s="1"/>
  <c r="C9" i="1"/>
  <c r="C40" i="1" l="1"/>
  <c r="C41" i="1" s="1"/>
</calcChain>
</file>

<file path=xl/sharedStrings.xml><?xml version="1.0" encoding="utf-8"?>
<sst xmlns="http://schemas.openxmlformats.org/spreadsheetml/2006/main" count="214" uniqueCount="150">
  <si>
    <t>[sek]</t>
  </si>
  <si>
    <t>Wie lange war die Düse an?</t>
  </si>
  <si>
    <t>[-]</t>
  </si>
  <si>
    <t>Welche Spritsorte</t>
  </si>
  <si>
    <t>[Liter]</t>
  </si>
  <si>
    <t>[Gramm]</t>
  </si>
  <si>
    <t>[Milliliter]</t>
  </si>
  <si>
    <t>Super plus ROZ 98</t>
  </si>
  <si>
    <t>Ultimate ROZ 102</t>
  </si>
  <si>
    <t>Zwischenwert</t>
  </si>
  <si>
    <t>[ccm/Min]</t>
  </si>
  <si>
    <t>Durchfluss</t>
  </si>
  <si>
    <t>[bar]</t>
  </si>
  <si>
    <t>Druck alt</t>
  </si>
  <si>
    <t>Druck neu</t>
  </si>
  <si>
    <t>[ccm/min]</t>
  </si>
  <si>
    <t>Durchfluss neu</t>
  </si>
  <si>
    <t>[ms]</t>
  </si>
  <si>
    <t>Pulsweite</t>
  </si>
  <si>
    <t>Total Number of injection</t>
  </si>
  <si>
    <t>[Minuten]</t>
  </si>
  <si>
    <t>Durchflussrate der Düse</t>
  </si>
  <si>
    <t>Totzeit ermittelt</t>
  </si>
  <si>
    <t>Öffnungszeit</t>
  </si>
  <si>
    <t>Spritsorte</t>
  </si>
  <si>
    <t>Durchfluss alt</t>
  </si>
  <si>
    <t>Neuer Benzindruck</t>
  </si>
  <si>
    <t>Alter Benzindruck</t>
  </si>
  <si>
    <t>Durchflussrechner</t>
  </si>
  <si>
    <t>Einfacher Totzeitrechner</t>
  </si>
  <si>
    <t>Totzeit 1</t>
  </si>
  <si>
    <t>Spannung 1</t>
  </si>
  <si>
    <t>Totzeit 2</t>
  </si>
  <si>
    <t>Spannung 2</t>
  </si>
  <si>
    <t>Totzeit 3</t>
  </si>
  <si>
    <t>Spannung 3</t>
  </si>
  <si>
    <t>Totzeit 4</t>
  </si>
  <si>
    <t>Spannung 4</t>
  </si>
  <si>
    <t>[V]</t>
  </si>
  <si>
    <t>[rpm]</t>
  </si>
  <si>
    <t>Min Spannung</t>
  </si>
  <si>
    <t>Max Spannung</t>
  </si>
  <si>
    <t>Min Totzeit</t>
  </si>
  <si>
    <t>Max Totzeit</t>
  </si>
  <si>
    <t>Totzeit @ 13,4V</t>
  </si>
  <si>
    <t>Korrektur pro V</t>
  </si>
  <si>
    <t>t</t>
  </si>
  <si>
    <t>Wieviel Milliliter sind aus der Düse gekommen</t>
  </si>
  <si>
    <t>Das ist die echte Totzeit der Düse</t>
  </si>
  <si>
    <t>Anzahl der Düsen</t>
  </si>
  <si>
    <t>Abgedeckte Leistung</t>
  </si>
  <si>
    <t>Auslegung Einspritzdüsen</t>
  </si>
  <si>
    <t>[PS]</t>
  </si>
  <si>
    <t xml:space="preserve">Gefahrener Benzindruck </t>
  </si>
  <si>
    <r>
      <t xml:space="preserve">Durchfluss bei </t>
    </r>
    <r>
      <rPr>
        <b/>
        <sz val="11"/>
        <color rgb="FFFF0000"/>
        <rFont val="Calibri"/>
        <family val="2"/>
        <scheme val="minor"/>
      </rPr>
      <t>3 bar</t>
    </r>
  </si>
  <si>
    <t>Wieviel Durchfluss bei 3 bar?</t>
  </si>
  <si>
    <t>Der im Auto eingestellte Benzindruck</t>
  </si>
  <si>
    <t>Messung 1</t>
  </si>
  <si>
    <t>Messung 2</t>
  </si>
  <si>
    <t>Messung 3</t>
  </si>
  <si>
    <t>Messung 4</t>
  </si>
  <si>
    <r>
      <t>Wieviel ist rausgekommen
--&gt; Abgelesen in Milliliter
--&gt;Gewogen in Gramm
--&gt;</t>
    </r>
    <r>
      <rPr>
        <b/>
        <i/>
        <sz val="11"/>
        <color rgb="FFFF0000"/>
        <rFont val="Calibri"/>
        <family val="2"/>
        <scheme val="minor"/>
      </rPr>
      <t>Einheit wählen!</t>
    </r>
  </si>
  <si>
    <t>Hubraum</t>
  </si>
  <si>
    <t>[m³]</t>
  </si>
  <si>
    <t>Ladedruck</t>
  </si>
  <si>
    <t>[Pa]</t>
  </si>
  <si>
    <t>Drehzahl</t>
  </si>
  <si>
    <t>[1/sek]</t>
  </si>
  <si>
    <t>Gaskonstante</t>
  </si>
  <si>
    <t>Temperatur</t>
  </si>
  <si>
    <t>[°C]</t>
  </si>
  <si>
    <t>[K]</t>
  </si>
  <si>
    <t>Füllung</t>
  </si>
  <si>
    <t>[%]</t>
  </si>
  <si>
    <t>Masse</t>
  </si>
  <si>
    <t>[kg]</t>
  </si>
  <si>
    <t>Massenstrom</t>
  </si>
  <si>
    <t>[kg/s]</t>
  </si>
  <si>
    <t>Faktor Leistung</t>
  </si>
  <si>
    <t>Motorleistung</t>
  </si>
  <si>
    <t>Drehmoment</t>
  </si>
  <si>
    <t>[Nm]</t>
  </si>
  <si>
    <t>Hubraum des Motors</t>
  </si>
  <si>
    <t>Ladedruck; Saugmotor = 0</t>
  </si>
  <si>
    <t>Lufttemperatur</t>
  </si>
  <si>
    <t>Umrechnung Luftmasse in Leistung
1,25 für Serienturbo
1,3 für hoch effiziente Motoren</t>
  </si>
  <si>
    <t>Geförderte Luftmasse</t>
  </si>
  <si>
    <t>Geschätzte Leistung</t>
  </si>
  <si>
    <t>Lambda / AFR</t>
  </si>
  <si>
    <t>[Lambda]</t>
  </si>
  <si>
    <t>[AFR]</t>
  </si>
  <si>
    <t>Lambda</t>
  </si>
  <si>
    <t>Benötigter Sprit</t>
  </si>
  <si>
    <t>Spritmenge</t>
  </si>
  <si>
    <t>Dichte Sprit</t>
  </si>
  <si>
    <t>Max Duty Cycle</t>
  </si>
  <si>
    <t>Düsengröße</t>
  </si>
  <si>
    <t>[Kg/Liter]</t>
  </si>
  <si>
    <t xml:space="preserve">[kg/s] </t>
  </si>
  <si>
    <t>[kg/min]</t>
  </si>
  <si>
    <t>[Liter/min]</t>
  </si>
  <si>
    <t>Wieviel Düsen sind im Auto verbaut</t>
  </si>
  <si>
    <t>Wie hoch soll die Düse ausgelastet werden</t>
  </si>
  <si>
    <t>Auslegung Einspritzdüsen _ ALTE VERSION</t>
  </si>
  <si>
    <t>Wert</t>
  </si>
  <si>
    <t>Einheit</t>
  </si>
  <si>
    <t>sinnvoller Range</t>
  </si>
  <si>
    <t>Beschreibung</t>
  </si>
  <si>
    <t>0 - 180</t>
  </si>
  <si>
    <t>0 - 2000</t>
  </si>
  <si>
    <t>15 - 200</t>
  </si>
  <si>
    <t>0,5 - 5</t>
  </si>
  <si>
    <t>0,5 - 1,5</t>
  </si>
  <si>
    <t>10 - 15</t>
  </si>
  <si>
    <t>100 - 2000</t>
  </si>
  <si>
    <t>2 - 6</t>
  </si>
  <si>
    <t>0,5 - 4</t>
  </si>
  <si>
    <t>0 - 3</t>
  </si>
  <si>
    <t>1000 - 8000</t>
  </si>
  <si>
    <t>10 - 60</t>
  </si>
  <si>
    <t>70 - 100</t>
  </si>
  <si>
    <t>1,1 - 1,3</t>
  </si>
  <si>
    <t>0,05 - 0,6</t>
  </si>
  <si>
    <t>0,7 - 1,1 (Lam)
10 - 15 (AFR)</t>
  </si>
  <si>
    <t>1 - 12</t>
  </si>
  <si>
    <t>Nur geschätzt, geht nicht in die Berechnung ein</t>
  </si>
  <si>
    <t>Neuer Durchfluss bei geänderten Druck</t>
  </si>
  <si>
    <r>
      <rPr>
        <b/>
        <i/>
        <sz val="11"/>
        <color rgb="FFFF0000"/>
        <rFont val="Calibri"/>
        <family val="2"/>
        <scheme val="minor"/>
      </rPr>
      <t xml:space="preserve">Wichtig! </t>
    </r>
    <r>
      <rPr>
        <b/>
        <i/>
        <sz val="10"/>
        <color theme="0" tint="-0.499984740745262"/>
        <rFont val="Calibri"/>
        <family val="2"/>
        <scheme val="minor"/>
      </rPr>
      <t>Genauen Durchfluss eintragen</t>
    </r>
  </si>
  <si>
    <r>
      <rPr>
        <b/>
        <i/>
        <sz val="11"/>
        <color rgb="FFFF0000"/>
        <rFont val="Calibri"/>
        <family val="2"/>
        <scheme val="minor"/>
      </rPr>
      <t>Wichtig</t>
    </r>
    <r>
      <rPr>
        <b/>
        <i/>
        <sz val="11"/>
        <color theme="0" tint="-0.499984740745262"/>
        <rFont val="Calibri"/>
        <family val="2"/>
        <scheme val="minor"/>
      </rPr>
      <t>,</t>
    </r>
    <r>
      <rPr>
        <b/>
        <i/>
        <sz val="10"/>
        <color theme="0" tint="-0.499984740745262"/>
        <rFont val="Calibri"/>
        <family val="2"/>
        <scheme val="minor"/>
      </rPr>
      <t xml:space="preserve"> ist Rechenwert für die Düsengröße</t>
    </r>
  </si>
  <si>
    <r>
      <t>Welcher Lambdawert soll gefahren werden
Lambda oder AFR --&gt;</t>
    </r>
    <r>
      <rPr>
        <sz val="11"/>
        <color rgb="FFFF0000"/>
        <rFont val="Calibri"/>
        <family val="2"/>
        <scheme val="minor"/>
      </rPr>
      <t xml:space="preserve"> </t>
    </r>
    <r>
      <rPr>
        <b/>
        <i/>
        <sz val="11"/>
        <color rgb="FFFF0000"/>
        <rFont val="Calibri"/>
        <family val="2"/>
        <scheme val="minor"/>
      </rPr>
      <t>Einheit beachten</t>
    </r>
  </si>
  <si>
    <t>[gr/Liter]</t>
  </si>
  <si>
    <t xml:space="preserve"> Gemessener Durchfluss</t>
  </si>
  <si>
    <t>Dichte des Kraftstoffes</t>
  </si>
  <si>
    <t>Testdauer</t>
  </si>
  <si>
    <t>Gemessener Durchfluss</t>
  </si>
  <si>
    <t>Delta X</t>
  </si>
  <si>
    <t>Delta Y</t>
  </si>
  <si>
    <t>[ms/V]</t>
  </si>
  <si>
    <t>Welche Drehzahl soll simuliert werden
Am besten ~150ms um den Leerlauf zu simulieren</t>
  </si>
  <si>
    <t>Umrechnung Luftmasse in Leistung
1,1 für normale Saugmotoren ( 2 Ventiler)
1,25 für Serienturbo
1,3 für hoch effiziente Motoren ( 4 Ventiler)</t>
  </si>
  <si>
    <t>Solange dauert der Test ungefähr</t>
  </si>
  <si>
    <t>So viele Antaktungen im TS eintragen</t>
  </si>
  <si>
    <t>Wie viele Düsen sind im Auto verbaut</t>
  </si>
  <si>
    <t>Durchfluss vs. Benzindruck</t>
  </si>
  <si>
    <t>Version 1.2 - Beta</t>
  </si>
  <si>
    <t>Düsendurchfluss der Düse</t>
  </si>
  <si>
    <t>Output Intervall</t>
  </si>
  <si>
    <t>Das hier im TunerStudio im Output Testmodus eingeben</t>
  </si>
  <si>
    <t>Entspricht dieser Drehzahl</t>
  </si>
  <si>
    <t>ca. 2ms über der geschätzten Totzeit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</si>
</sst>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00"/>
    <numFmt numFmtId="166" formatCode="0.0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0" tint="-0.499984740745262"/>
      <name val="Calibri"/>
      <family val="2"/>
      <scheme val="minor"/>
    </font>
    <font>
      <b/>
      <i/>
      <sz val="10"/>
      <color theme="0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2"/>
      <color theme="0" tint="-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8"/>
      <color rgb="FFFFFF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206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4">
    <xf numFmtId="0" fontId="0" fillId="0" borderId="0" xfId="0"/>
    <xf numFmtId="164" fontId="0" fillId="0" borderId="0" xfId="0" applyNumberFormat="1"/>
    <xf numFmtId="0" fontId="3" fillId="0" borderId="0" xfId="0" applyFont="1"/>
    <xf numFmtId="0" fontId="3" fillId="0" borderId="0" xfId="0" applyFont="1" applyFill="1" applyBorder="1"/>
    <xf numFmtId="0" fontId="8" fillId="0" borderId="5" xfId="0" applyFont="1" applyBorder="1"/>
    <xf numFmtId="0" fontId="0" fillId="0" borderId="6" xfId="0" applyBorder="1"/>
    <xf numFmtId="0" fontId="8" fillId="0" borderId="8" xfId="0" applyFont="1" applyBorder="1"/>
    <xf numFmtId="0" fontId="0" fillId="0" borderId="5" xfId="0" applyBorder="1"/>
    <xf numFmtId="0" fontId="3" fillId="0" borderId="7" xfId="0" applyFont="1" applyBorder="1"/>
    <xf numFmtId="0" fontId="0" fillId="0" borderId="8" xfId="0" applyBorder="1"/>
    <xf numFmtId="0" fontId="0" fillId="0" borderId="4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4" xfId="0" applyFill="1" applyBorder="1" applyAlignment="1">
      <alignment horizontal="right"/>
    </xf>
    <xf numFmtId="0" fontId="0" fillId="0" borderId="6" xfId="0" applyFill="1" applyBorder="1" applyAlignment="1">
      <alignment horizontal="right"/>
    </xf>
    <xf numFmtId="0" fontId="0" fillId="0" borderId="1" xfId="0" applyFill="1" applyBorder="1" applyAlignment="1">
      <alignment horizontal="right"/>
    </xf>
    <xf numFmtId="0" fontId="5" fillId="0" borderId="0" xfId="0" applyFont="1"/>
    <xf numFmtId="14" fontId="5" fillId="0" borderId="0" xfId="0" applyNumberFormat="1" applyFont="1"/>
    <xf numFmtId="0" fontId="0" fillId="0" borderId="1" xfId="0" applyBorder="1" applyAlignment="1">
      <alignment horizontal="right"/>
    </xf>
    <xf numFmtId="0" fontId="8" fillId="0" borderId="3" xfId="0" applyFont="1" applyBorder="1"/>
    <xf numFmtId="0" fontId="5" fillId="0" borderId="7" xfId="0" applyFont="1" applyBorder="1" applyAlignment="1">
      <alignment vertical="center" wrapText="1"/>
    </xf>
    <xf numFmtId="0" fontId="8" fillId="0" borderId="5" xfId="0" applyFont="1" applyBorder="1" applyAlignment="1">
      <alignment wrapText="1"/>
    </xf>
    <xf numFmtId="0" fontId="0" fillId="2" borderId="0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0" xfId="0"/>
    <xf numFmtId="0" fontId="0" fillId="0" borderId="5" xfId="0" applyBorder="1"/>
    <xf numFmtId="1" fontId="4" fillId="3" borderId="7" xfId="0" applyNumberFormat="1" applyFont="1" applyFill="1" applyBorder="1"/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3" xfId="0" applyFont="1" applyFill="1" applyBorder="1" applyAlignment="1" applyProtection="1">
      <alignment horizontal="center"/>
      <protection locked="0"/>
    </xf>
    <xf numFmtId="0" fontId="3" fillId="0" borderId="13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17" fontId="3" fillId="0" borderId="14" xfId="0" quotePrefix="1" applyNumberFormat="1" applyFon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4" fillId="0" borderId="16" xfId="0" applyFont="1" applyBorder="1" applyAlignment="1">
      <alignment horizontal="center" vertical="center" wrapText="1"/>
    </xf>
    <xf numFmtId="0" fontId="3" fillId="0" borderId="13" xfId="0" quotePrefix="1" applyFont="1" applyFill="1" applyBorder="1" applyAlignment="1">
      <alignment horizontal="center"/>
    </xf>
    <xf numFmtId="0" fontId="3" fillId="0" borderId="13" xfId="0" applyFont="1" applyBorder="1" applyAlignment="1">
      <alignment horizontal="center" wrapText="1"/>
    </xf>
    <xf numFmtId="16" fontId="3" fillId="0" borderId="13" xfId="0" quotePrefix="1" applyNumberFormat="1" applyFont="1" applyBorder="1" applyAlignment="1">
      <alignment horizontal="center"/>
    </xf>
    <xf numFmtId="0" fontId="3" fillId="0" borderId="13" xfId="0" applyFont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right" indent="1"/>
      <protection locked="0"/>
    </xf>
    <xf numFmtId="0" fontId="0" fillId="3" borderId="0" xfId="0" applyFill="1" applyBorder="1" applyAlignment="1">
      <alignment horizontal="right" indent="1"/>
    </xf>
    <xf numFmtId="0" fontId="2" fillId="3" borderId="0" xfId="0" applyFont="1" applyFill="1" applyBorder="1" applyAlignment="1">
      <alignment horizontal="right" indent="1"/>
    </xf>
    <xf numFmtId="0" fontId="0" fillId="0" borderId="0" xfId="0" applyBorder="1" applyAlignment="1">
      <alignment horizontal="right" indent="1"/>
    </xf>
    <xf numFmtId="1" fontId="0" fillId="3" borderId="0" xfId="0" applyNumberFormat="1" applyFill="1" applyBorder="1" applyAlignment="1">
      <alignment horizontal="right" indent="1"/>
    </xf>
    <xf numFmtId="0" fontId="0" fillId="2" borderId="0" xfId="0" applyFill="1" applyBorder="1" applyAlignment="1" applyProtection="1">
      <alignment horizontal="right" indent="1"/>
      <protection locked="0"/>
    </xf>
    <xf numFmtId="165" fontId="4" fillId="3" borderId="0" xfId="0" applyNumberFormat="1" applyFont="1" applyFill="1" applyBorder="1" applyAlignment="1">
      <alignment horizontal="right" indent="1"/>
    </xf>
    <xf numFmtId="165" fontId="0" fillId="2" borderId="2" xfId="0" applyNumberFormat="1" applyFill="1" applyBorder="1" applyAlignment="1" applyProtection="1">
      <alignment horizontal="right" indent="1"/>
      <protection locked="0"/>
    </xf>
    <xf numFmtId="166" fontId="0" fillId="2" borderId="7" xfId="0" applyNumberFormat="1" applyFill="1" applyBorder="1" applyAlignment="1" applyProtection="1">
      <alignment horizontal="right" indent="1"/>
      <protection locked="0"/>
    </xf>
    <xf numFmtId="166" fontId="0" fillId="0" borderId="0" xfId="0" applyNumberFormat="1" applyAlignment="1">
      <alignment horizontal="right" indent="1"/>
    </xf>
    <xf numFmtId="165" fontId="0" fillId="0" borderId="0" xfId="0" applyNumberFormat="1" applyAlignment="1">
      <alignment horizontal="right" indent="1"/>
    </xf>
    <xf numFmtId="165" fontId="4" fillId="3" borderId="7" xfId="0" applyNumberFormat="1" applyFont="1" applyFill="1" applyBorder="1" applyAlignment="1">
      <alignment horizontal="right" indent="1"/>
    </xf>
    <xf numFmtId="1" fontId="4" fillId="3" borderId="7" xfId="0" applyNumberFormat="1" applyFont="1" applyFill="1" applyBorder="1" applyAlignment="1">
      <alignment horizontal="right" indent="1"/>
    </xf>
    <xf numFmtId="0" fontId="2" fillId="2" borderId="2" xfId="0" applyFont="1" applyFill="1" applyBorder="1" applyAlignment="1" applyProtection="1">
      <alignment horizontal="right" indent="1"/>
      <protection locked="0"/>
    </xf>
    <xf numFmtId="0" fontId="0" fillId="0" borderId="0" xfId="0" applyBorder="1" applyAlignment="1" applyProtection="1">
      <alignment horizontal="right" indent="1"/>
      <protection locked="0"/>
    </xf>
    <xf numFmtId="165" fontId="0" fillId="3" borderId="0" xfId="0" applyNumberFormat="1" applyFill="1" applyBorder="1" applyAlignment="1">
      <alignment horizontal="right" indent="1"/>
    </xf>
    <xf numFmtId="1" fontId="4" fillId="3" borderId="0" xfId="0" applyNumberFormat="1" applyFont="1" applyFill="1" applyBorder="1" applyAlignment="1">
      <alignment horizontal="right" indent="1"/>
    </xf>
    <xf numFmtId="165" fontId="2" fillId="2" borderId="2" xfId="0" applyNumberFormat="1" applyFont="1" applyFill="1" applyBorder="1" applyAlignment="1" applyProtection="1">
      <alignment horizontal="right" indent="1"/>
      <protection locked="0"/>
    </xf>
    <xf numFmtId="165" fontId="0" fillId="0" borderId="0" xfId="0" applyNumberFormat="1" applyBorder="1" applyAlignment="1" applyProtection="1">
      <alignment horizontal="right" indent="1"/>
      <protection locked="0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(Tabelle1!$C$29,Tabelle1!$C$31,Tabelle1!$C$33,Tabelle1!$C$35)</c:f>
              <c:numCache>
                <c:formatCode>0.0</c:formatCode>
                <c:ptCount val="4"/>
                <c:pt idx="0">
                  <c:v>11.5</c:v>
                </c:pt>
                <c:pt idx="1">
                  <c:v>12.5</c:v>
                </c:pt>
                <c:pt idx="2">
                  <c:v>13.5</c:v>
                </c:pt>
                <c:pt idx="3">
                  <c:v>14.5</c:v>
                </c:pt>
              </c:numCache>
            </c:numRef>
          </c:xVal>
          <c:yVal>
            <c:numRef>
              <c:f>(Tabelle1!$C$28,Tabelle1!$C$30,Tabelle1!$C$32,Tabelle1!$C$34)</c:f>
              <c:numCache>
                <c:formatCode>0.000</c:formatCode>
                <c:ptCount val="4"/>
                <c:pt idx="0">
                  <c:v>1.35</c:v>
                </c:pt>
                <c:pt idx="1">
                  <c:v>1.1000000000000001</c:v>
                </c:pt>
                <c:pt idx="2">
                  <c:v>0.9</c:v>
                </c:pt>
                <c:pt idx="3">
                  <c:v>0.8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702400"/>
        <c:axId val="177704320"/>
      </c:scatterChart>
      <c:valAx>
        <c:axId val="177702400"/>
        <c:scaling>
          <c:orientation val="minMax"/>
          <c:max val="15"/>
          <c:min val="1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 sz="1600"/>
                  <a:t>Düsenspannung / V</a:t>
                </a:r>
              </a:p>
            </c:rich>
          </c:tx>
          <c:layout/>
          <c:overlay val="0"/>
        </c:title>
        <c:numFmt formatCode="0.0" sourceLinked="1"/>
        <c:majorTickMark val="out"/>
        <c:minorTickMark val="none"/>
        <c:tickLblPos val="nextTo"/>
        <c:crossAx val="177704320"/>
        <c:crosses val="autoZero"/>
        <c:crossBetween val="midCat"/>
        <c:majorUnit val="0.5"/>
        <c:minorUnit val="0.25"/>
      </c:valAx>
      <c:valAx>
        <c:axId val="177704320"/>
        <c:scaling>
          <c:orientation val="minMax"/>
          <c:max val="1.4"/>
          <c:min val="0.5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400"/>
                </a:pPr>
                <a:r>
                  <a:rPr lang="en-US" sz="1400"/>
                  <a:t>Totzeit / ms</a:t>
                </a:r>
              </a:p>
            </c:rich>
          </c:tx>
          <c:layout/>
          <c:overlay val="0"/>
        </c:title>
        <c:numFmt formatCode="0.0" sourceLinked="0"/>
        <c:majorTickMark val="out"/>
        <c:minorTickMark val="none"/>
        <c:tickLblPos val="nextTo"/>
        <c:crossAx val="177702400"/>
        <c:crosses val="autoZero"/>
        <c:crossBetween val="midCat"/>
        <c:majorUnit val="0.1"/>
        <c:minorUnit val="5.000000000000001E-2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24</xdr:row>
      <xdr:rowOff>9525</xdr:rowOff>
    </xdr:from>
    <xdr:to>
      <xdr:col>15</xdr:col>
      <xdr:colOff>666750</xdr:colOff>
      <xdr:row>41</xdr:row>
      <xdr:rowOff>190500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97"/>
  <sheetViews>
    <sheetView tabSelected="1" zoomScaleNormal="100" workbookViewId="0"/>
  </sheetViews>
  <sheetFormatPr baseColWidth="10" defaultRowHeight="15" x14ac:dyDescent="0.25"/>
  <cols>
    <col min="1" max="1" width="3.85546875" customWidth="1"/>
    <col min="2" max="2" width="24" bestFit="1" customWidth="1"/>
    <col min="3" max="3" width="18.140625" customWidth="1"/>
    <col min="4" max="4" width="11.42578125" customWidth="1"/>
    <col min="5" max="5" width="13.28515625" style="23" customWidth="1"/>
    <col min="6" max="6" width="44.85546875" customWidth="1"/>
    <col min="9" max="10" width="11.42578125" hidden="1" customWidth="1"/>
    <col min="11" max="11" width="17.85546875" hidden="1" customWidth="1"/>
    <col min="12" max="12" width="11.42578125" hidden="1" customWidth="1"/>
  </cols>
  <sheetData>
    <row r="2" spans="2:12" ht="19.5" thickBot="1" x14ac:dyDescent="0.35">
      <c r="B2" s="15" t="s">
        <v>144</v>
      </c>
      <c r="F2" s="16">
        <v>42874</v>
      </c>
    </row>
    <row r="3" spans="2:12" x14ac:dyDescent="0.25">
      <c r="B3" s="68" t="s">
        <v>28</v>
      </c>
      <c r="C3" s="69"/>
      <c r="D3" s="69"/>
      <c r="E3" s="69"/>
      <c r="F3" s="70"/>
    </row>
    <row r="4" spans="2:12" x14ac:dyDescent="0.25">
      <c r="B4" s="71"/>
      <c r="C4" s="72"/>
      <c r="D4" s="72"/>
      <c r="E4" s="72"/>
      <c r="F4" s="73"/>
    </row>
    <row r="5" spans="2:12" s="23" customFormat="1" ht="32.25" thickBot="1" x14ac:dyDescent="0.3">
      <c r="B5" s="66" t="s">
        <v>104</v>
      </c>
      <c r="C5" s="67"/>
      <c r="D5" s="27" t="s">
        <v>105</v>
      </c>
      <c r="E5" s="27" t="s">
        <v>106</v>
      </c>
      <c r="F5" s="26" t="s">
        <v>107</v>
      </c>
    </row>
    <row r="6" spans="2:12" x14ac:dyDescent="0.25">
      <c r="B6" s="10" t="s">
        <v>23</v>
      </c>
      <c r="C6" s="47">
        <v>45</v>
      </c>
      <c r="D6" s="28" t="s">
        <v>0</v>
      </c>
      <c r="E6" s="28" t="s">
        <v>108</v>
      </c>
      <c r="F6" s="4" t="s">
        <v>1</v>
      </c>
      <c r="I6" t="s">
        <v>6</v>
      </c>
      <c r="K6" t="s">
        <v>7</v>
      </c>
      <c r="L6">
        <v>747.8</v>
      </c>
    </row>
    <row r="7" spans="2:12" ht="53.25" x14ac:dyDescent="0.25">
      <c r="B7" s="10" t="s">
        <v>131</v>
      </c>
      <c r="C7" s="47">
        <v>473</v>
      </c>
      <c r="D7" s="31" t="s">
        <v>6</v>
      </c>
      <c r="E7" s="28" t="s">
        <v>109</v>
      </c>
      <c r="F7" s="20" t="s">
        <v>61</v>
      </c>
      <c r="I7" t="s">
        <v>5</v>
      </c>
      <c r="K7" t="s">
        <v>8</v>
      </c>
      <c r="L7">
        <v>760</v>
      </c>
    </row>
    <row r="8" spans="2:12" x14ac:dyDescent="0.25">
      <c r="B8" s="10" t="s">
        <v>24</v>
      </c>
      <c r="C8" s="52" t="s">
        <v>7</v>
      </c>
      <c r="D8" s="28" t="s">
        <v>2</v>
      </c>
      <c r="E8" s="28"/>
      <c r="F8" s="4" t="s">
        <v>3</v>
      </c>
    </row>
    <row r="9" spans="2:12" x14ac:dyDescent="0.25">
      <c r="B9" s="10"/>
      <c r="C9" s="50">
        <f>VLOOKUP(C8,K6:L10,2,TRUE)</f>
        <v>747.8</v>
      </c>
      <c r="D9" s="29" t="s">
        <v>130</v>
      </c>
      <c r="E9" s="29"/>
      <c r="F9" s="4" t="s">
        <v>132</v>
      </c>
    </row>
    <row r="10" spans="2:12" hidden="1" x14ac:dyDescent="0.25">
      <c r="B10" s="10"/>
      <c r="C10" s="50">
        <f>IF(D7="[Milliliter]",C7,C7/(C9/1000))</f>
        <v>473</v>
      </c>
      <c r="D10" s="29"/>
      <c r="E10" s="29"/>
      <c r="F10" s="4" t="s">
        <v>9</v>
      </c>
    </row>
    <row r="11" spans="2:12" ht="16.5" thickBot="1" x14ac:dyDescent="0.3">
      <c r="B11" s="11"/>
      <c r="C11" s="59">
        <f>60/C6*C10</f>
        <v>630.66666666666663</v>
      </c>
      <c r="D11" s="30" t="s">
        <v>10</v>
      </c>
      <c r="E11" s="30"/>
      <c r="F11" s="6" t="s">
        <v>145</v>
      </c>
    </row>
    <row r="12" spans="2:12" x14ac:dyDescent="0.25">
      <c r="D12" s="2"/>
      <c r="E12" s="2"/>
    </row>
    <row r="13" spans="2:12" ht="15.75" thickBot="1" x14ac:dyDescent="0.3">
      <c r="D13" s="2"/>
      <c r="E13" s="2"/>
    </row>
    <row r="14" spans="2:12" ht="15" customHeight="1" x14ac:dyDescent="0.25">
      <c r="B14" s="68" t="s">
        <v>29</v>
      </c>
      <c r="C14" s="69"/>
      <c r="D14" s="69"/>
      <c r="E14" s="69"/>
      <c r="F14" s="70"/>
    </row>
    <row r="15" spans="2:12" ht="15.75" customHeight="1" x14ac:dyDescent="0.25">
      <c r="B15" s="83"/>
      <c r="C15" s="84"/>
      <c r="D15" s="84"/>
      <c r="E15" s="84"/>
      <c r="F15" s="85"/>
    </row>
    <row r="16" spans="2:12" s="23" customFormat="1" ht="32.25" thickBot="1" x14ac:dyDescent="0.3">
      <c r="B16" s="66" t="s">
        <v>104</v>
      </c>
      <c r="C16" s="67"/>
      <c r="D16" s="27" t="s">
        <v>105</v>
      </c>
      <c r="E16" s="27" t="s">
        <v>106</v>
      </c>
      <c r="F16" s="26" t="s">
        <v>107</v>
      </c>
    </row>
    <row r="17" spans="2:14" ht="15" customHeight="1" thickBot="1" x14ac:dyDescent="0.3">
      <c r="B17" s="10" t="s">
        <v>21</v>
      </c>
      <c r="C17" s="47">
        <v>630</v>
      </c>
      <c r="D17" s="29" t="s">
        <v>15</v>
      </c>
      <c r="E17" s="32" t="s">
        <v>109</v>
      </c>
      <c r="F17" s="4" t="s">
        <v>127</v>
      </c>
      <c r="G17" s="5"/>
      <c r="H17" s="19"/>
      <c r="I17" s="19"/>
      <c r="J17" s="19"/>
      <c r="K17" s="19"/>
      <c r="L17" s="19"/>
      <c r="M17" s="19"/>
      <c r="N17" s="19"/>
    </row>
    <row r="18" spans="2:14" ht="30" customHeight="1" x14ac:dyDescent="0.25">
      <c r="B18" s="10" t="s">
        <v>146</v>
      </c>
      <c r="C18" s="47">
        <v>150</v>
      </c>
      <c r="D18" s="29" t="s">
        <v>17</v>
      </c>
      <c r="E18" s="33" t="s">
        <v>110</v>
      </c>
      <c r="F18" s="20" t="s">
        <v>138</v>
      </c>
      <c r="G18" s="74" t="s">
        <v>147</v>
      </c>
      <c r="H18" s="75"/>
      <c r="I18" s="75"/>
      <c r="J18" s="75"/>
      <c r="K18" s="75"/>
      <c r="L18" s="75"/>
      <c r="M18" s="75"/>
      <c r="N18" s="76"/>
    </row>
    <row r="19" spans="2:14" ht="15" customHeight="1" x14ac:dyDescent="0.25">
      <c r="B19" s="10"/>
      <c r="C19" s="48">
        <f>1/C18*2*60*1000</f>
        <v>800</v>
      </c>
      <c r="D19" s="29" t="s">
        <v>39</v>
      </c>
      <c r="E19" s="33"/>
      <c r="F19" s="4" t="s">
        <v>148</v>
      </c>
      <c r="G19" s="77"/>
      <c r="H19" s="78"/>
      <c r="I19" s="78"/>
      <c r="J19" s="78"/>
      <c r="K19" s="78"/>
      <c r="L19" s="78"/>
      <c r="M19" s="78"/>
      <c r="N19" s="79"/>
    </row>
    <row r="20" spans="2:14" ht="15" customHeight="1" x14ac:dyDescent="0.25">
      <c r="B20" s="10" t="s">
        <v>18</v>
      </c>
      <c r="C20" s="47">
        <v>3</v>
      </c>
      <c r="D20" s="29" t="s">
        <v>17</v>
      </c>
      <c r="E20" s="33" t="s">
        <v>111</v>
      </c>
      <c r="F20" s="4" t="s">
        <v>149</v>
      </c>
      <c r="G20" s="77"/>
      <c r="H20" s="78"/>
      <c r="I20" s="78"/>
      <c r="J20" s="78"/>
      <c r="K20" s="78"/>
      <c r="L20" s="78"/>
      <c r="M20" s="78"/>
      <c r="N20" s="79"/>
    </row>
    <row r="21" spans="2:14" ht="15.75" customHeight="1" thickBot="1" x14ac:dyDescent="0.3">
      <c r="B21" s="10" t="s">
        <v>19</v>
      </c>
      <c r="C21" s="49">
        <f>60*1000/C20</f>
        <v>20000</v>
      </c>
      <c r="D21" s="29" t="s">
        <v>2</v>
      </c>
      <c r="E21" s="33"/>
      <c r="F21" s="4" t="s">
        <v>141</v>
      </c>
      <c r="G21" s="80"/>
      <c r="H21" s="81"/>
      <c r="I21" s="81"/>
      <c r="J21" s="81"/>
      <c r="K21" s="81"/>
      <c r="L21" s="81"/>
      <c r="M21" s="81"/>
      <c r="N21" s="82"/>
    </row>
    <row r="22" spans="2:14" x14ac:dyDescent="0.25">
      <c r="B22" s="10"/>
      <c r="C22" s="50"/>
      <c r="D22" s="29"/>
      <c r="E22" s="33"/>
      <c r="F22" s="4"/>
    </row>
    <row r="23" spans="2:14" x14ac:dyDescent="0.25">
      <c r="B23" s="10" t="s">
        <v>133</v>
      </c>
      <c r="C23" s="51">
        <f>C21*C18/1000/60</f>
        <v>50</v>
      </c>
      <c r="D23" s="29" t="s">
        <v>20</v>
      </c>
      <c r="E23" s="33"/>
      <c r="F23" s="4" t="s">
        <v>140</v>
      </c>
    </row>
    <row r="24" spans="2:14" x14ac:dyDescent="0.25">
      <c r="B24" s="10"/>
      <c r="C24" s="50"/>
      <c r="D24" s="29"/>
      <c r="E24" s="33"/>
      <c r="F24" s="4"/>
    </row>
    <row r="25" spans="2:14" x14ac:dyDescent="0.25">
      <c r="B25" s="10" t="s">
        <v>134</v>
      </c>
      <c r="C25" s="52">
        <v>405</v>
      </c>
      <c r="D25" s="29" t="s">
        <v>6</v>
      </c>
      <c r="E25" s="33" t="s">
        <v>109</v>
      </c>
      <c r="F25" s="4" t="s">
        <v>47</v>
      </c>
    </row>
    <row r="26" spans="2:14" ht="15.75" x14ac:dyDescent="0.25">
      <c r="B26" s="10" t="s">
        <v>22</v>
      </c>
      <c r="C26" s="53">
        <f>C20-(C25/C17*C20)</f>
        <v>1.0714285714285712</v>
      </c>
      <c r="D26" s="29" t="s">
        <v>17</v>
      </c>
      <c r="E26" s="33"/>
      <c r="F26" s="4" t="s">
        <v>48</v>
      </c>
    </row>
    <row r="27" spans="2:14" ht="15.75" thickBot="1" x14ac:dyDescent="0.3">
      <c r="B27" s="10"/>
      <c r="C27" s="50"/>
      <c r="D27" s="34"/>
      <c r="E27" s="35"/>
      <c r="F27" s="4"/>
    </row>
    <row r="28" spans="2:14" x14ac:dyDescent="0.25">
      <c r="B28" s="17" t="s">
        <v>30</v>
      </c>
      <c r="C28" s="54">
        <v>1.35</v>
      </c>
      <c r="D28" s="36" t="s">
        <v>17</v>
      </c>
      <c r="E28" s="37" t="s">
        <v>112</v>
      </c>
      <c r="F28" s="92" t="s">
        <v>57</v>
      </c>
    </row>
    <row r="29" spans="2:14" ht="15.75" thickBot="1" x14ac:dyDescent="0.3">
      <c r="B29" s="11" t="s">
        <v>31</v>
      </c>
      <c r="C29" s="55">
        <v>11.5</v>
      </c>
      <c r="D29" s="38" t="s">
        <v>38</v>
      </c>
      <c r="E29" s="39" t="s">
        <v>113</v>
      </c>
      <c r="F29" s="93"/>
    </row>
    <row r="30" spans="2:14" x14ac:dyDescent="0.25">
      <c r="B30" s="17" t="s">
        <v>32</v>
      </c>
      <c r="C30" s="54">
        <v>1.1000000000000001</v>
      </c>
      <c r="D30" s="36" t="s">
        <v>17</v>
      </c>
      <c r="E30" s="37" t="s">
        <v>112</v>
      </c>
      <c r="F30" s="92" t="s">
        <v>58</v>
      </c>
    </row>
    <row r="31" spans="2:14" ht="15.75" thickBot="1" x14ac:dyDescent="0.3">
      <c r="B31" s="11" t="s">
        <v>33</v>
      </c>
      <c r="C31" s="55">
        <v>12.5</v>
      </c>
      <c r="D31" s="38" t="s">
        <v>38</v>
      </c>
      <c r="E31" s="39" t="s">
        <v>113</v>
      </c>
      <c r="F31" s="93"/>
    </row>
    <row r="32" spans="2:14" x14ac:dyDescent="0.25">
      <c r="B32" s="17" t="s">
        <v>34</v>
      </c>
      <c r="C32" s="54">
        <v>0.9</v>
      </c>
      <c r="D32" s="36" t="s">
        <v>17</v>
      </c>
      <c r="E32" s="37" t="s">
        <v>112</v>
      </c>
      <c r="F32" s="92" t="s">
        <v>59</v>
      </c>
    </row>
    <row r="33" spans="2:14" ht="15.75" thickBot="1" x14ac:dyDescent="0.3">
      <c r="B33" s="11" t="s">
        <v>35</v>
      </c>
      <c r="C33" s="55">
        <v>13.5</v>
      </c>
      <c r="D33" s="38" t="s">
        <v>38</v>
      </c>
      <c r="E33" s="39" t="s">
        <v>113</v>
      </c>
      <c r="F33" s="93"/>
    </row>
    <row r="34" spans="2:14" x14ac:dyDescent="0.25">
      <c r="B34" s="17" t="s">
        <v>36</v>
      </c>
      <c r="C34" s="54">
        <v>0.8</v>
      </c>
      <c r="D34" s="36" t="s">
        <v>17</v>
      </c>
      <c r="E34" s="37" t="s">
        <v>112</v>
      </c>
      <c r="F34" s="92" t="s">
        <v>60</v>
      </c>
    </row>
    <row r="35" spans="2:14" ht="15.75" thickBot="1" x14ac:dyDescent="0.3">
      <c r="B35" s="11" t="s">
        <v>37</v>
      </c>
      <c r="C35" s="55">
        <v>14.5</v>
      </c>
      <c r="D35" s="38" t="s">
        <v>38</v>
      </c>
      <c r="E35" s="39" t="s">
        <v>113</v>
      </c>
      <c r="F35" s="93"/>
    </row>
    <row r="36" spans="2:14" hidden="1" x14ac:dyDescent="0.25">
      <c r="B36" s="12" t="s">
        <v>40</v>
      </c>
      <c r="C36" s="56">
        <f>MIN(C29,C31,C33,C35)</f>
        <v>11.5</v>
      </c>
      <c r="D36" s="34"/>
      <c r="E36" s="40"/>
      <c r="F36" t="s">
        <v>135</v>
      </c>
    </row>
    <row r="37" spans="2:14" hidden="1" x14ac:dyDescent="0.25">
      <c r="B37" s="12" t="s">
        <v>41</v>
      </c>
      <c r="C37" s="56">
        <f>MAX(C31,C33,C35,C29)</f>
        <v>14.5</v>
      </c>
      <c r="D37" s="34"/>
      <c r="E37" s="40"/>
      <c r="F37" t="s">
        <v>135</v>
      </c>
    </row>
    <row r="38" spans="2:14" hidden="1" x14ac:dyDescent="0.25">
      <c r="B38" s="12" t="s">
        <v>42</v>
      </c>
      <c r="C38" s="57">
        <f>MIN(C28,C30,C32,C34)</f>
        <v>0.8</v>
      </c>
      <c r="D38" s="34"/>
      <c r="E38" s="40"/>
      <c r="F38" t="s">
        <v>136</v>
      </c>
    </row>
    <row r="39" spans="2:14" hidden="1" x14ac:dyDescent="0.25">
      <c r="B39" s="12" t="s">
        <v>43</v>
      </c>
      <c r="C39" s="57">
        <f>MAX(C34,C32,C30,C28)</f>
        <v>1.35</v>
      </c>
      <c r="D39" s="34"/>
      <c r="E39" s="40"/>
      <c r="F39" t="s">
        <v>136</v>
      </c>
    </row>
    <row r="40" spans="2:14" s="23" customFormat="1" hidden="1" x14ac:dyDescent="0.25">
      <c r="B40" s="12" t="s">
        <v>46</v>
      </c>
      <c r="C40" s="57">
        <f>AVERAGE(C38:C39)-(C42*-1*AVERAGE(C36:C37))</f>
        <v>3.4583333333333339</v>
      </c>
      <c r="D40" s="34"/>
      <c r="E40" s="40"/>
    </row>
    <row r="41" spans="2:14" ht="15.75" x14ac:dyDescent="0.25">
      <c r="B41" s="12" t="s">
        <v>44</v>
      </c>
      <c r="C41" s="53">
        <f>-C42*13.4+C40</f>
        <v>1.0016666666666669</v>
      </c>
      <c r="D41" s="29" t="s">
        <v>17</v>
      </c>
      <c r="E41" s="40"/>
      <c r="F41" s="7"/>
    </row>
    <row r="42" spans="2:14" ht="16.5" thickBot="1" x14ac:dyDescent="0.3">
      <c r="B42" s="13" t="s">
        <v>45</v>
      </c>
      <c r="C42" s="58">
        <f>(C39-C38)/(C37-C36)</f>
        <v>0.18333333333333335</v>
      </c>
      <c r="D42" s="38" t="s">
        <v>137</v>
      </c>
      <c r="E42" s="41"/>
      <c r="F42" s="9"/>
    </row>
    <row r="44" spans="2:14" s="23" customFormat="1" ht="15.75" thickBot="1" x14ac:dyDescent="0.3"/>
    <row r="45" spans="2:14" ht="15" customHeight="1" x14ac:dyDescent="0.25">
      <c r="B45" s="68" t="s">
        <v>79</v>
      </c>
      <c r="C45" s="69"/>
      <c r="D45" s="69"/>
      <c r="E45" s="69"/>
      <c r="F45" s="70"/>
      <c r="N45" s="1"/>
    </row>
    <row r="46" spans="2:14" ht="15.75" customHeight="1" x14ac:dyDescent="0.25">
      <c r="B46" s="71"/>
      <c r="C46" s="72"/>
      <c r="D46" s="72"/>
      <c r="E46" s="72"/>
      <c r="F46" s="73"/>
    </row>
    <row r="47" spans="2:14" s="23" customFormat="1" ht="32.25" thickBot="1" x14ac:dyDescent="0.3">
      <c r="B47" s="66" t="s">
        <v>104</v>
      </c>
      <c r="C47" s="67"/>
      <c r="D47" s="27" t="s">
        <v>105</v>
      </c>
      <c r="E47" s="27" t="s">
        <v>106</v>
      </c>
      <c r="F47" s="26" t="s">
        <v>107</v>
      </c>
    </row>
    <row r="48" spans="2:14" x14ac:dyDescent="0.25">
      <c r="B48" s="17" t="s">
        <v>62</v>
      </c>
      <c r="C48" s="60">
        <v>3.2</v>
      </c>
      <c r="D48" s="28" t="s">
        <v>4</v>
      </c>
      <c r="E48" s="28" t="s">
        <v>116</v>
      </c>
      <c r="F48" s="4" t="s">
        <v>82</v>
      </c>
    </row>
    <row r="49" spans="2:6" hidden="1" x14ac:dyDescent="0.25">
      <c r="B49" s="10"/>
      <c r="C49" s="61">
        <f>C48/1000</f>
        <v>3.2000000000000002E-3</v>
      </c>
      <c r="D49" s="34" t="s">
        <v>63</v>
      </c>
      <c r="E49" s="34"/>
      <c r="F49" s="24"/>
    </row>
    <row r="50" spans="2:6" x14ac:dyDescent="0.25">
      <c r="B50" s="10" t="s">
        <v>64</v>
      </c>
      <c r="C50" s="47">
        <v>0</v>
      </c>
      <c r="D50" s="28" t="s">
        <v>12</v>
      </c>
      <c r="E50" s="28" t="s">
        <v>117</v>
      </c>
      <c r="F50" s="4" t="s">
        <v>83</v>
      </c>
    </row>
    <row r="51" spans="2:6" hidden="1" x14ac:dyDescent="0.25">
      <c r="B51" s="10"/>
      <c r="C51" s="61">
        <f>(C50+1)*10^5</f>
        <v>100000</v>
      </c>
      <c r="D51" s="28" t="s">
        <v>65</v>
      </c>
      <c r="E51" s="28"/>
      <c r="F51" s="4"/>
    </row>
    <row r="52" spans="2:6" x14ac:dyDescent="0.25">
      <c r="B52" s="10" t="s">
        <v>66</v>
      </c>
      <c r="C52" s="47">
        <v>6300</v>
      </c>
      <c r="D52" s="28" t="s">
        <v>39</v>
      </c>
      <c r="E52" s="28" t="s">
        <v>118</v>
      </c>
      <c r="F52" s="4"/>
    </row>
    <row r="53" spans="2:6" hidden="1" x14ac:dyDescent="0.25">
      <c r="B53" s="10"/>
      <c r="C53" s="61">
        <f>C52/60</f>
        <v>105</v>
      </c>
      <c r="D53" s="28" t="s">
        <v>67</v>
      </c>
      <c r="E53" s="28"/>
      <c r="F53" s="4"/>
    </row>
    <row r="54" spans="2:6" hidden="1" x14ac:dyDescent="0.25">
      <c r="B54" s="10" t="s">
        <v>68</v>
      </c>
      <c r="C54" s="61">
        <v>287</v>
      </c>
      <c r="D54" s="28"/>
      <c r="E54" s="28"/>
      <c r="F54" s="4"/>
    </row>
    <row r="55" spans="2:6" x14ac:dyDescent="0.25">
      <c r="B55" s="10" t="s">
        <v>69</v>
      </c>
      <c r="C55" s="52">
        <v>20</v>
      </c>
      <c r="D55" s="28" t="s">
        <v>70</v>
      </c>
      <c r="E55" s="43" t="s">
        <v>119</v>
      </c>
      <c r="F55" s="4" t="s">
        <v>84</v>
      </c>
    </row>
    <row r="56" spans="2:6" hidden="1" x14ac:dyDescent="0.25">
      <c r="B56" s="10"/>
      <c r="C56" s="61">
        <f>C55+273.15</f>
        <v>293.14999999999998</v>
      </c>
      <c r="D56" s="28" t="s">
        <v>71</v>
      </c>
      <c r="E56" s="28"/>
      <c r="F56" s="4"/>
    </row>
    <row r="57" spans="2:6" x14ac:dyDescent="0.25">
      <c r="B57" s="10" t="s">
        <v>72</v>
      </c>
      <c r="C57" s="52">
        <v>95</v>
      </c>
      <c r="D57" s="28" t="s">
        <v>73</v>
      </c>
      <c r="E57" s="28" t="s">
        <v>120</v>
      </c>
      <c r="F57" s="4"/>
    </row>
    <row r="58" spans="2:6" hidden="1" x14ac:dyDescent="0.25">
      <c r="B58" s="10"/>
      <c r="C58" s="50">
        <f>C57/100</f>
        <v>0.95</v>
      </c>
      <c r="D58" s="28"/>
      <c r="E58" s="28"/>
      <c r="F58" s="4"/>
    </row>
    <row r="59" spans="2:6" hidden="1" x14ac:dyDescent="0.25">
      <c r="B59" s="10" t="s">
        <v>74</v>
      </c>
      <c r="C59" s="50">
        <f>(C51*C49)/(C54*C56)*C58</f>
        <v>3.613281424108313E-3</v>
      </c>
      <c r="D59" s="28" t="s">
        <v>75</v>
      </c>
      <c r="E59" s="28"/>
      <c r="F59" s="4"/>
    </row>
    <row r="60" spans="2:6" x14ac:dyDescent="0.25">
      <c r="B60" s="10" t="s">
        <v>76</v>
      </c>
      <c r="C60" s="62">
        <f>C59*C53/2</f>
        <v>0.18969727476568643</v>
      </c>
      <c r="D60" s="28" t="s">
        <v>77</v>
      </c>
      <c r="E60" s="28"/>
      <c r="F60" s="4"/>
    </row>
    <row r="61" spans="2:6" ht="51.75" x14ac:dyDescent="0.25">
      <c r="B61" s="10" t="s">
        <v>78</v>
      </c>
      <c r="C61" s="52">
        <v>1.3</v>
      </c>
      <c r="D61" s="28" t="s">
        <v>2</v>
      </c>
      <c r="E61" s="28" t="s">
        <v>121</v>
      </c>
      <c r="F61" s="20" t="s">
        <v>139</v>
      </c>
    </row>
    <row r="62" spans="2:6" ht="15.75" x14ac:dyDescent="0.25">
      <c r="B62" s="10" t="s">
        <v>79</v>
      </c>
      <c r="C62" s="63">
        <f>C60*1000*C61</f>
        <v>246.60645719539235</v>
      </c>
      <c r="D62" s="28" t="s">
        <v>52</v>
      </c>
      <c r="E62" s="28"/>
      <c r="F62" s="4"/>
    </row>
    <row r="63" spans="2:6" ht="16.5" thickBot="1" x14ac:dyDescent="0.3">
      <c r="B63" s="11" t="s">
        <v>80</v>
      </c>
      <c r="C63" s="59">
        <f>(C62/1.36*1000)/(2*PI()*C53)</f>
        <v>274.8503967859005</v>
      </c>
      <c r="D63" s="38" t="s">
        <v>81</v>
      </c>
      <c r="E63" s="38"/>
      <c r="F63" s="6"/>
    </row>
    <row r="65" spans="2:9" ht="15.75" thickBot="1" x14ac:dyDescent="0.3"/>
    <row r="66" spans="2:9" ht="15" customHeight="1" x14ac:dyDescent="0.25">
      <c r="B66" s="68" t="s">
        <v>51</v>
      </c>
      <c r="C66" s="69"/>
      <c r="D66" s="69"/>
      <c r="E66" s="69"/>
      <c r="F66" s="70"/>
    </row>
    <row r="67" spans="2:9" ht="15.75" customHeight="1" thickBot="1" x14ac:dyDescent="0.3">
      <c r="B67" s="71"/>
      <c r="C67" s="72"/>
      <c r="D67" s="72"/>
      <c r="E67" s="72"/>
      <c r="F67" s="73"/>
    </row>
    <row r="68" spans="2:9" s="23" customFormat="1" ht="32.25" thickBot="1" x14ac:dyDescent="0.3">
      <c r="B68" s="66" t="s">
        <v>104</v>
      </c>
      <c r="C68" s="67"/>
      <c r="D68" s="42" t="s">
        <v>105</v>
      </c>
      <c r="E68" s="42" t="s">
        <v>106</v>
      </c>
      <c r="F68" s="26" t="s">
        <v>107</v>
      </c>
    </row>
    <row r="69" spans="2:9" x14ac:dyDescent="0.25">
      <c r="B69" s="17" t="s">
        <v>86</v>
      </c>
      <c r="C69" s="64">
        <v>0.27200000000000002</v>
      </c>
      <c r="D69" s="36" t="s">
        <v>77</v>
      </c>
      <c r="E69" s="36" t="s">
        <v>122</v>
      </c>
      <c r="F69" s="18" t="s">
        <v>128</v>
      </c>
    </row>
    <row r="70" spans="2:9" ht="39" x14ac:dyDescent="0.25">
      <c r="B70" s="10" t="s">
        <v>78</v>
      </c>
      <c r="C70" s="52">
        <v>1.25</v>
      </c>
      <c r="D70" s="29" t="s">
        <v>2</v>
      </c>
      <c r="E70" s="29" t="s">
        <v>121</v>
      </c>
      <c r="F70" s="20" t="s">
        <v>85</v>
      </c>
    </row>
    <row r="71" spans="2:9" x14ac:dyDescent="0.25">
      <c r="B71" s="10" t="s">
        <v>87</v>
      </c>
      <c r="C71" s="48">
        <f>C69*1000*C70</f>
        <v>340</v>
      </c>
      <c r="D71" s="29" t="s">
        <v>52</v>
      </c>
      <c r="E71" s="29"/>
      <c r="F71" s="4" t="s">
        <v>125</v>
      </c>
    </row>
    <row r="72" spans="2:9" ht="31.5" customHeight="1" x14ac:dyDescent="0.25">
      <c r="B72" s="10" t="s">
        <v>88</v>
      </c>
      <c r="C72" s="47">
        <v>0.86</v>
      </c>
      <c r="D72" s="46" t="s">
        <v>89</v>
      </c>
      <c r="E72" s="44" t="s">
        <v>123</v>
      </c>
      <c r="F72" s="20" t="s">
        <v>129</v>
      </c>
      <c r="I72" t="s">
        <v>89</v>
      </c>
    </row>
    <row r="73" spans="2:9" hidden="1" x14ac:dyDescent="0.25">
      <c r="B73" s="10" t="s">
        <v>91</v>
      </c>
      <c r="C73" s="65">
        <f>IF(D72="[AFR]",C72,C72*14.7)</f>
        <v>12.641999999999999</v>
      </c>
      <c r="D73" s="29"/>
      <c r="E73" s="29"/>
      <c r="F73" s="4"/>
      <c r="I73" t="s">
        <v>90</v>
      </c>
    </row>
    <row r="74" spans="2:9" hidden="1" x14ac:dyDescent="0.25">
      <c r="B74" s="10" t="s">
        <v>94</v>
      </c>
      <c r="C74" s="61">
        <v>0.75</v>
      </c>
      <c r="D74" s="29" t="s">
        <v>97</v>
      </c>
      <c r="E74" s="29"/>
      <c r="F74" s="4"/>
    </row>
    <row r="75" spans="2:9" hidden="1" x14ac:dyDescent="0.25">
      <c r="B75" s="10" t="s">
        <v>92</v>
      </c>
      <c r="C75" s="65">
        <f>C69/C73</f>
        <v>2.1515582977377001E-2</v>
      </c>
      <c r="D75" s="29" t="s">
        <v>98</v>
      </c>
      <c r="E75" s="29"/>
      <c r="F75" s="4" t="s">
        <v>93</v>
      </c>
    </row>
    <row r="76" spans="2:9" hidden="1" x14ac:dyDescent="0.25">
      <c r="B76" s="10"/>
      <c r="C76" s="65">
        <f>C75*60</f>
        <v>1.2909349786426201</v>
      </c>
      <c r="D76" s="29" t="s">
        <v>99</v>
      </c>
      <c r="E76" s="29"/>
      <c r="F76" s="4"/>
    </row>
    <row r="77" spans="2:9" hidden="1" x14ac:dyDescent="0.25">
      <c r="B77" s="10"/>
      <c r="C77" s="61">
        <f>C76/C74</f>
        <v>1.7212466381901601</v>
      </c>
      <c r="D77" s="29" t="s">
        <v>100</v>
      </c>
      <c r="E77" s="29"/>
      <c r="F77" s="4"/>
    </row>
    <row r="78" spans="2:9" hidden="1" x14ac:dyDescent="0.25">
      <c r="B78" s="10"/>
      <c r="C78" s="61">
        <f>C77*1000</f>
        <v>1721.2466381901602</v>
      </c>
      <c r="D78" s="29" t="s">
        <v>15</v>
      </c>
      <c r="E78" s="29"/>
      <c r="F78" s="4"/>
    </row>
    <row r="79" spans="2:9" x14ac:dyDescent="0.25">
      <c r="B79" s="10" t="s">
        <v>49</v>
      </c>
      <c r="C79" s="47">
        <v>6</v>
      </c>
      <c r="D79" s="29" t="s">
        <v>2</v>
      </c>
      <c r="E79" s="45" t="s">
        <v>124</v>
      </c>
      <c r="F79" s="4" t="s">
        <v>101</v>
      </c>
    </row>
    <row r="80" spans="2:9" x14ac:dyDescent="0.25">
      <c r="B80" s="10" t="s">
        <v>95</v>
      </c>
      <c r="C80" s="52">
        <v>85</v>
      </c>
      <c r="D80" s="29" t="s">
        <v>73</v>
      </c>
      <c r="E80" s="29" t="s">
        <v>120</v>
      </c>
      <c r="F80" s="4" t="s">
        <v>102</v>
      </c>
    </row>
    <row r="81" spans="2:6" hidden="1" x14ac:dyDescent="0.25">
      <c r="B81" s="10"/>
      <c r="C81" s="50">
        <f>C80/100</f>
        <v>0.85</v>
      </c>
      <c r="D81" s="29" t="s">
        <v>2</v>
      </c>
      <c r="E81" s="29"/>
      <c r="F81" s="4"/>
    </row>
    <row r="82" spans="2:6" ht="16.5" thickBot="1" x14ac:dyDescent="0.3">
      <c r="B82" s="11" t="s">
        <v>96</v>
      </c>
      <c r="C82" s="59">
        <f>C78/C79/C81</f>
        <v>337.49934082160007</v>
      </c>
      <c r="D82" s="38" t="s">
        <v>15</v>
      </c>
      <c r="E82" s="38"/>
      <c r="F82" s="6"/>
    </row>
    <row r="84" spans="2:6" hidden="1" x14ac:dyDescent="0.25">
      <c r="B84" s="86" t="s">
        <v>103</v>
      </c>
      <c r="C84" s="87"/>
      <c r="D84" s="87"/>
      <c r="E84" s="87"/>
      <c r="F84" s="88"/>
    </row>
    <row r="85" spans="2:6" ht="15.75" hidden="1" thickBot="1" x14ac:dyDescent="0.3">
      <c r="B85" s="89"/>
      <c r="C85" s="90"/>
      <c r="D85" s="90"/>
      <c r="E85" s="90"/>
      <c r="F85" s="91"/>
    </row>
    <row r="86" spans="2:6" hidden="1" x14ac:dyDescent="0.25">
      <c r="B86" s="14" t="s">
        <v>49</v>
      </c>
      <c r="C86" s="22">
        <v>4</v>
      </c>
      <c r="D86" s="3"/>
      <c r="E86" s="3"/>
      <c r="F86" s="4" t="s">
        <v>142</v>
      </c>
    </row>
    <row r="87" spans="2:6" hidden="1" x14ac:dyDescent="0.25">
      <c r="B87" s="12" t="s">
        <v>54</v>
      </c>
      <c r="C87" s="21">
        <v>630</v>
      </c>
      <c r="D87" s="3" t="s">
        <v>15</v>
      </c>
      <c r="E87" s="3"/>
      <c r="F87" s="4" t="s">
        <v>55</v>
      </c>
    </row>
    <row r="88" spans="2:6" hidden="1" x14ac:dyDescent="0.25">
      <c r="B88" s="12" t="s">
        <v>53</v>
      </c>
      <c r="C88" s="21">
        <v>3</v>
      </c>
      <c r="D88" s="3" t="s">
        <v>12</v>
      </c>
      <c r="E88" s="3"/>
      <c r="F88" s="4" t="s">
        <v>56</v>
      </c>
    </row>
    <row r="89" spans="2:6" ht="16.5" hidden="1" thickBot="1" x14ac:dyDescent="0.3">
      <c r="B89" s="13" t="s">
        <v>50</v>
      </c>
      <c r="C89" s="25">
        <f>C86/6*C87*SQRT(C88/3)</f>
        <v>420</v>
      </c>
      <c r="D89" s="8" t="s">
        <v>52</v>
      </c>
      <c r="E89" s="8"/>
      <c r="F89" s="6"/>
    </row>
    <row r="90" spans="2:6" ht="15.75" thickBot="1" x14ac:dyDescent="0.3"/>
    <row r="91" spans="2:6" ht="15" customHeight="1" x14ac:dyDescent="0.25">
      <c r="B91" s="68" t="s">
        <v>143</v>
      </c>
      <c r="C91" s="69"/>
      <c r="D91" s="69"/>
      <c r="E91" s="69"/>
      <c r="F91" s="70"/>
    </row>
    <row r="92" spans="2:6" ht="15.75" customHeight="1" x14ac:dyDescent="0.25">
      <c r="B92" s="71"/>
      <c r="C92" s="72"/>
      <c r="D92" s="72"/>
      <c r="E92" s="72"/>
      <c r="F92" s="73"/>
    </row>
    <row r="93" spans="2:6" s="23" customFormat="1" ht="32.25" thickBot="1" x14ac:dyDescent="0.3">
      <c r="B93" s="66" t="s">
        <v>104</v>
      </c>
      <c r="C93" s="67"/>
      <c r="D93" s="27" t="s">
        <v>105</v>
      </c>
      <c r="E93" s="27" t="s">
        <v>106</v>
      </c>
      <c r="F93" s="26" t="s">
        <v>107</v>
      </c>
    </row>
    <row r="94" spans="2:6" x14ac:dyDescent="0.25">
      <c r="B94" s="10" t="s">
        <v>25</v>
      </c>
      <c r="C94" s="47">
        <v>610</v>
      </c>
      <c r="D94" s="28" t="s">
        <v>15</v>
      </c>
      <c r="E94" s="28" t="s">
        <v>114</v>
      </c>
      <c r="F94" s="4" t="s">
        <v>11</v>
      </c>
    </row>
    <row r="95" spans="2:6" x14ac:dyDescent="0.25">
      <c r="B95" s="10" t="s">
        <v>27</v>
      </c>
      <c r="C95" s="47">
        <v>3</v>
      </c>
      <c r="D95" s="28" t="s">
        <v>12</v>
      </c>
      <c r="E95" s="43" t="s">
        <v>115</v>
      </c>
      <c r="F95" s="4" t="s">
        <v>13</v>
      </c>
    </row>
    <row r="96" spans="2:6" x14ac:dyDescent="0.25">
      <c r="B96" s="10" t="s">
        <v>26</v>
      </c>
      <c r="C96" s="47">
        <v>4</v>
      </c>
      <c r="D96" s="28" t="s">
        <v>12</v>
      </c>
      <c r="E96" s="43" t="s">
        <v>115</v>
      </c>
      <c r="F96" s="4" t="s">
        <v>14</v>
      </c>
    </row>
    <row r="97" spans="2:6" ht="16.5" thickBot="1" x14ac:dyDescent="0.3">
      <c r="B97" s="11" t="s">
        <v>16</v>
      </c>
      <c r="C97" s="59">
        <f>SQRT(C96)/SQRT(C95)*C94</f>
        <v>704.36732841134358</v>
      </c>
      <c r="D97" s="30" t="s">
        <v>15</v>
      </c>
      <c r="E97" s="30"/>
      <c r="F97" s="6" t="s">
        <v>126</v>
      </c>
    </row>
  </sheetData>
  <sheetProtection password="CF7A" sheet="1" objects="1" scenarios="1"/>
  <mergeCells count="16">
    <mergeCell ref="G18:N21"/>
    <mergeCell ref="B3:F4"/>
    <mergeCell ref="B91:F92"/>
    <mergeCell ref="B14:F15"/>
    <mergeCell ref="B84:F85"/>
    <mergeCell ref="F28:F29"/>
    <mergeCell ref="F34:F35"/>
    <mergeCell ref="F32:F33"/>
    <mergeCell ref="F30:F31"/>
    <mergeCell ref="B93:C93"/>
    <mergeCell ref="B45:F46"/>
    <mergeCell ref="B66:F67"/>
    <mergeCell ref="B5:C5"/>
    <mergeCell ref="B16:C16"/>
    <mergeCell ref="B47:C47"/>
    <mergeCell ref="B68:C68"/>
  </mergeCells>
  <dataValidations count="3">
    <dataValidation type="list" allowBlank="1" showInputMessage="1" showErrorMessage="1" sqref="D7">
      <formula1>$I$6:$I$7</formula1>
    </dataValidation>
    <dataValidation type="list" allowBlank="1" showInputMessage="1" showErrorMessage="1" sqref="C8">
      <formula1>$K$6:$K$7</formula1>
    </dataValidation>
    <dataValidation type="list" allowBlank="1" showInputMessage="1" showErrorMessage="1" sqref="D72">
      <formula1>$I$72:$I$73</formula1>
    </dataValidation>
  </dataValidation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BorgWarner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</dc:creator>
  <cp:lastModifiedBy>daz</cp:lastModifiedBy>
  <dcterms:created xsi:type="dcterms:W3CDTF">2017-05-18T12:20:46Z</dcterms:created>
  <dcterms:modified xsi:type="dcterms:W3CDTF">2017-05-19T08:34:29Z</dcterms:modified>
</cp:coreProperties>
</file>